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945"/>
  </bookViews>
  <sheets>
    <sheet name="EJECUCIÓN MARZO 2015" sheetId="2" r:id="rId1"/>
  </sheets>
  <calcPr calcId="145621"/>
</workbook>
</file>

<file path=xl/calcChain.xml><?xml version="1.0" encoding="utf-8"?>
<calcChain xmlns="http://schemas.openxmlformats.org/spreadsheetml/2006/main">
  <c r="D58" i="2" l="1"/>
  <c r="M57" i="2"/>
  <c r="K57" i="2"/>
  <c r="H57" i="2"/>
  <c r="I56" i="2"/>
  <c r="M56" i="2" s="1"/>
  <c r="H56" i="2"/>
  <c r="I55" i="2"/>
  <c r="M55" i="2" s="1"/>
  <c r="H55" i="2"/>
  <c r="I54" i="2"/>
  <c r="M54" i="2" s="1"/>
  <c r="H54" i="2"/>
  <c r="I53" i="2"/>
  <c r="M53" i="2" s="1"/>
  <c r="H53" i="2"/>
  <c r="M52" i="2"/>
  <c r="K52" i="2"/>
  <c r="I52" i="2"/>
  <c r="H52" i="2"/>
  <c r="I51" i="2"/>
  <c r="M51" i="2" s="1"/>
  <c r="H51" i="2"/>
  <c r="I50" i="2"/>
  <c r="M50" i="2" s="1"/>
  <c r="H50" i="2"/>
  <c r="M49" i="2"/>
  <c r="K49" i="2"/>
  <c r="H49" i="2"/>
  <c r="I48" i="2"/>
  <c r="M48" i="2" s="1"/>
  <c r="H48" i="2"/>
  <c r="J47" i="2"/>
  <c r="G47" i="2"/>
  <c r="F47" i="2"/>
  <c r="E47" i="2"/>
  <c r="C47" i="2"/>
  <c r="M46" i="2"/>
  <c r="K46" i="2"/>
  <c r="L46" i="2" s="1"/>
  <c r="H46" i="2"/>
  <c r="I45" i="2"/>
  <c r="M45" i="2" s="1"/>
  <c r="H45" i="2"/>
  <c r="I44" i="2"/>
  <c r="K44" i="2" s="1"/>
  <c r="L44" i="2" s="1"/>
  <c r="H44" i="2"/>
  <c r="I43" i="2"/>
  <c r="M43" i="2" s="1"/>
  <c r="H43" i="2"/>
  <c r="J42" i="2"/>
  <c r="G42" i="2"/>
  <c r="F42" i="2"/>
  <c r="E42" i="2"/>
  <c r="C42" i="2"/>
  <c r="M41" i="2"/>
  <c r="K41" i="2"/>
  <c r="H41" i="2"/>
  <c r="N41" i="2" s="1"/>
  <c r="M40" i="2"/>
  <c r="K40" i="2"/>
  <c r="H40" i="2"/>
  <c r="M39" i="2"/>
  <c r="K39" i="2"/>
  <c r="H39" i="2"/>
  <c r="M38" i="2"/>
  <c r="K38" i="2"/>
  <c r="H38" i="2"/>
  <c r="M37" i="2"/>
  <c r="K37" i="2"/>
  <c r="H37" i="2"/>
  <c r="N37" i="2" s="1"/>
  <c r="O37" i="2" s="1"/>
  <c r="I36" i="2"/>
  <c r="M36" i="2" s="1"/>
  <c r="H36" i="2"/>
  <c r="M35" i="2"/>
  <c r="K35" i="2"/>
  <c r="H35" i="2"/>
  <c r="N35" i="2" s="1"/>
  <c r="O35" i="2" s="1"/>
  <c r="M34" i="2"/>
  <c r="K34" i="2"/>
  <c r="H34" i="2"/>
  <c r="N34" i="2" s="1"/>
  <c r="O34" i="2" s="1"/>
  <c r="M33" i="2"/>
  <c r="K33" i="2"/>
  <c r="L33" i="2" s="1"/>
  <c r="H33" i="2"/>
  <c r="I32" i="2"/>
  <c r="K32" i="2" s="1"/>
  <c r="H32" i="2"/>
  <c r="M31" i="2"/>
  <c r="K31" i="2"/>
  <c r="H31" i="2"/>
  <c r="N31" i="2" s="1"/>
  <c r="O31" i="2" s="1"/>
  <c r="I30" i="2"/>
  <c r="M30" i="2" s="1"/>
  <c r="H30" i="2"/>
  <c r="I29" i="2"/>
  <c r="M29" i="2" s="1"/>
  <c r="H29" i="2"/>
  <c r="I28" i="2"/>
  <c r="M28" i="2" s="1"/>
  <c r="H28" i="2"/>
  <c r="J27" i="2"/>
  <c r="G27" i="2"/>
  <c r="F27" i="2"/>
  <c r="E27" i="2"/>
  <c r="C27" i="2"/>
  <c r="M26" i="2"/>
  <c r="K26" i="2"/>
  <c r="H26" i="2"/>
  <c r="M25" i="2"/>
  <c r="K25" i="2"/>
  <c r="H25" i="2"/>
  <c r="I24" i="2"/>
  <c r="M24" i="2" s="1"/>
  <c r="H24" i="2"/>
  <c r="M23" i="2"/>
  <c r="K23" i="2"/>
  <c r="H23" i="2"/>
  <c r="J22" i="2"/>
  <c r="G22" i="2"/>
  <c r="F22" i="2"/>
  <c r="E22" i="2"/>
  <c r="C22" i="2"/>
  <c r="M21" i="2"/>
  <c r="K21" i="2"/>
  <c r="H21" i="2"/>
  <c r="N21" i="2" s="1"/>
  <c r="M20" i="2"/>
  <c r="K20" i="2"/>
  <c r="H20" i="2"/>
  <c r="I19" i="2"/>
  <c r="M19" i="2" s="1"/>
  <c r="H19" i="2"/>
  <c r="J18" i="2"/>
  <c r="G18" i="2"/>
  <c r="F18" i="2"/>
  <c r="E18" i="2"/>
  <c r="C18" i="2"/>
  <c r="M17" i="2"/>
  <c r="K17" i="2"/>
  <c r="H17" i="2"/>
  <c r="N17" i="2" s="1"/>
  <c r="O17" i="2" s="1"/>
  <c r="I16" i="2"/>
  <c r="M16" i="2" s="1"/>
  <c r="H16" i="2"/>
  <c r="I15" i="2"/>
  <c r="M15" i="2" s="1"/>
  <c r="H15" i="2"/>
  <c r="M14" i="2"/>
  <c r="K14" i="2"/>
  <c r="L14" i="2" s="1"/>
  <c r="H14" i="2"/>
  <c r="M13" i="2"/>
  <c r="K13" i="2"/>
  <c r="H13" i="2"/>
  <c r="I12" i="2"/>
  <c r="M12" i="2" s="1"/>
  <c r="H12" i="2"/>
  <c r="I11" i="2"/>
  <c r="M11" i="2" s="1"/>
  <c r="H11" i="2"/>
  <c r="I10" i="2"/>
  <c r="K10" i="2" s="1"/>
  <c r="H10" i="2"/>
  <c r="I9" i="2"/>
  <c r="M9" i="2" s="1"/>
  <c r="G9" i="2"/>
  <c r="G8" i="2" s="1"/>
  <c r="C9" i="2"/>
  <c r="J8" i="2"/>
  <c r="F8" i="2"/>
  <c r="E8" i="2"/>
  <c r="C8" i="2"/>
  <c r="K29" i="2" l="1"/>
  <c r="L29" i="2" s="1"/>
  <c r="L32" i="2"/>
  <c r="L38" i="2"/>
  <c r="K54" i="2"/>
  <c r="L57" i="2"/>
  <c r="K9" i="2"/>
  <c r="L9" i="2" s="1"/>
  <c r="K12" i="2"/>
  <c r="L12" i="2" s="1"/>
  <c r="K16" i="2"/>
  <c r="L16" i="2" s="1"/>
  <c r="N25" i="2"/>
  <c r="O25" i="2" s="1"/>
  <c r="L26" i="2"/>
  <c r="N40" i="2"/>
  <c r="O40" i="2" s="1"/>
  <c r="K50" i="2"/>
  <c r="N50" i="2" s="1"/>
  <c r="O50" i="2" s="1"/>
  <c r="K56" i="2"/>
  <c r="L56" i="2" s="1"/>
  <c r="N39" i="2"/>
  <c r="O39" i="2" s="1"/>
  <c r="L52" i="2"/>
  <c r="N54" i="2"/>
  <c r="O54" i="2" s="1"/>
  <c r="K36" i="2"/>
  <c r="L36" i="2" s="1"/>
  <c r="L40" i="2"/>
  <c r="M44" i="2"/>
  <c r="L50" i="2"/>
  <c r="N52" i="2"/>
  <c r="O52" i="2" s="1"/>
  <c r="L54" i="2"/>
  <c r="N56" i="2"/>
  <c r="O56" i="2" s="1"/>
  <c r="N57" i="2"/>
  <c r="O57" i="2" s="1"/>
  <c r="N16" i="2"/>
  <c r="O16" i="2" s="1"/>
  <c r="K24" i="2"/>
  <c r="L24" i="2" s="1"/>
  <c r="H27" i="2"/>
  <c r="I27" i="2"/>
  <c r="M27" i="2" s="1"/>
  <c r="N29" i="2"/>
  <c r="O29" i="2" s="1"/>
  <c r="M32" i="2"/>
  <c r="L10" i="2"/>
  <c r="L17" i="2"/>
  <c r="H22" i="2"/>
  <c r="I22" i="2"/>
  <c r="M22" i="2" s="1"/>
  <c r="N26" i="2"/>
  <c r="N32" i="2"/>
  <c r="O32" i="2" s="1"/>
  <c r="N33" i="2"/>
  <c r="N38" i="2"/>
  <c r="O38" i="2" s="1"/>
  <c r="L39" i="2"/>
  <c r="H42" i="2"/>
  <c r="I42" i="2"/>
  <c r="M42" i="2" s="1"/>
  <c r="N44" i="2"/>
  <c r="O44" i="2" s="1"/>
  <c r="H8" i="2"/>
  <c r="N24" i="2"/>
  <c r="O24" i="2" s="1"/>
  <c r="G58" i="2"/>
  <c r="E58" i="2"/>
  <c r="H9" i="2"/>
  <c r="N14" i="2"/>
  <c r="O14" i="2" s="1"/>
  <c r="H18" i="2"/>
  <c r="I18" i="2"/>
  <c r="M18" i="2" s="1"/>
  <c r="N20" i="2"/>
  <c r="F58" i="2"/>
  <c r="N23" i="2"/>
  <c r="N22" i="2" s="1"/>
  <c r="O22" i="2" s="1"/>
  <c r="L25" i="2"/>
  <c r="L37" i="2"/>
  <c r="L41" i="2"/>
  <c r="N46" i="2"/>
  <c r="C58" i="2"/>
  <c r="I47" i="2"/>
  <c r="N49" i="2"/>
  <c r="N10" i="2"/>
  <c r="O10" i="2" s="1"/>
  <c r="L20" i="2"/>
  <c r="L21" i="2"/>
  <c r="L23" i="2"/>
  <c r="L31" i="2"/>
  <c r="L34" i="2"/>
  <c r="L35" i="2"/>
  <c r="K47" i="2"/>
  <c r="M47" i="2"/>
  <c r="L49" i="2"/>
  <c r="J58" i="2"/>
  <c r="I8" i="2"/>
  <c r="K11" i="2"/>
  <c r="K15" i="2"/>
  <c r="K19" i="2"/>
  <c r="K22" i="2"/>
  <c r="K28" i="2"/>
  <c r="K30" i="2"/>
  <c r="K43" i="2"/>
  <c r="K45" i="2"/>
  <c r="H47" i="2"/>
  <c r="K48" i="2"/>
  <c r="K51" i="2"/>
  <c r="K53" i="2"/>
  <c r="K55" i="2"/>
  <c r="N12" i="2" l="1"/>
  <c r="O12" i="2" s="1"/>
  <c r="L22" i="2"/>
  <c r="N9" i="2"/>
  <c r="O9" i="2" s="1"/>
  <c r="N36" i="2"/>
  <c r="O36" i="2" s="1"/>
  <c r="O23" i="2"/>
  <c r="H58" i="2"/>
  <c r="I58" i="2"/>
  <c r="N53" i="2"/>
  <c r="O53" i="2" s="1"/>
  <c r="L53" i="2"/>
  <c r="N48" i="2"/>
  <c r="L48" i="2"/>
  <c r="N45" i="2"/>
  <c r="L45" i="2"/>
  <c r="N30" i="2"/>
  <c r="O30" i="2" s="1"/>
  <c r="L30" i="2"/>
  <c r="N15" i="2"/>
  <c r="O15" i="2" s="1"/>
  <c r="L15" i="2"/>
  <c r="K8" i="2"/>
  <c r="L8" i="2" s="1"/>
  <c r="M8" i="2"/>
  <c r="M58" i="2" s="1"/>
  <c r="N55" i="2"/>
  <c r="O55" i="2" s="1"/>
  <c r="L55" i="2"/>
  <c r="N51" i="2"/>
  <c r="O51" i="2" s="1"/>
  <c r="L51" i="2"/>
  <c r="N43" i="2"/>
  <c r="L43" i="2"/>
  <c r="K42" i="2"/>
  <c r="L42" i="2" s="1"/>
  <c r="N28" i="2"/>
  <c r="L28" i="2"/>
  <c r="K27" i="2"/>
  <c r="L27" i="2" s="1"/>
  <c r="N19" i="2"/>
  <c r="L19" i="2"/>
  <c r="K18" i="2"/>
  <c r="L18" i="2" s="1"/>
  <c r="N11" i="2"/>
  <c r="O11" i="2" s="1"/>
  <c r="L11" i="2"/>
  <c r="L47" i="2"/>
  <c r="N8" i="2"/>
  <c r="O8" i="2" s="1"/>
  <c r="K58" i="2" l="1"/>
  <c r="L58" i="2" s="1"/>
  <c r="O28" i="2"/>
  <c r="N27" i="2"/>
  <c r="O27" i="2" s="1"/>
  <c r="O48" i="2"/>
  <c r="N47" i="2"/>
  <c r="O19" i="2"/>
  <c r="N18" i="2"/>
  <c r="O18" i="2" s="1"/>
  <c r="O43" i="2"/>
  <c r="N42" i="2"/>
  <c r="O42" i="2" s="1"/>
  <c r="N58" i="2" l="1"/>
  <c r="O58" i="2" s="1"/>
  <c r="O47" i="2"/>
</calcChain>
</file>

<file path=xl/sharedStrings.xml><?xml version="1.0" encoding="utf-8"?>
<sst xmlns="http://schemas.openxmlformats.org/spreadsheetml/2006/main" count="127" uniqueCount="120">
  <si>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</si>
  <si>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</si>
  <si>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</si>
  <si>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</si>
  <si>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</si>
  <si>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</si>
  <si>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</si>
  <si>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</si>
  <si>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</si>
  <si>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</si>
  <si>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</si>
  <si>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</si>
  <si>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</si>
  <si>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</si>
  <si>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</si>
  <si>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</si>
  <si>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</si>
  <si>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</si>
  <si>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</si>
  <si>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</si>
  <si>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</si>
  <si>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</si>
  <si>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</si>
  <si>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</si>
  <si>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</si>
  <si>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</si>
  <si>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</si>
  <si>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</si>
  <si>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</si>
  <si>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</si>
  <si>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</si>
  <si>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</si>
  <si>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</si>
  <si>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</si>
  <si>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</si>
  <si>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</si>
  <si>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</si>
  <si>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</si>
  <si>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</si>
  <si>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</si>
  <si>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</si>
  <si>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</si>
  <si>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</si>
  <si>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</si>
  <si>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</si>
  <si>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</si>
  <si>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</si>
  <si>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</si>
  <si>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</si>
  <si>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</si>
  <si>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</si>
  <si>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</si>
  <si>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</si>
  <si>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</si>
  <si>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</si>
  <si>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</si>
  <si>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</si>
  <si>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</si>
  <si>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</si>
  <si>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</si>
  <si>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</si>
  <si>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</si>
  <si>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</si>
  <si>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</si>
  <si>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</si>
  <si>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</si>
  <si>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</si>
  <si>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</si>
  <si>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</si>
  <si>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</si>
  <si>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</si>
  <si>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</si>
  <si>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</si>
  <si>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</si>
  <si>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</si>
  <si>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</si>
  <si>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</si>
  <si>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</si>
  <si>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</si>
  <si>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</si>
  <si>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PROFESIONALES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</si>
  <si>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</si>
  <si>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</si>
  <si>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</si>
  <si>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</si>
  <si>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</si>
  <si>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</si>
  <si>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</si>
  <si>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</si>
  <si>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</si>
  <si>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</si>
  <si>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</si>
  <si>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</si>
  <si>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</si>
  <si>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</si>
  <si>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JAIME LONDOÑO FLOREZ</t>
  </si>
  <si>
    <t>EDWIN YESID BORRERO BRAGA</t>
  </si>
  <si>
    <t>CONTRALORIA DEPARTAMENTAL DEL GUAVIARE</t>
  </si>
  <si>
    <t>EJECUCION PRESUPUESTAL  DE  GASTOS</t>
  </si>
  <si>
    <t>MARZO DE  2015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</si>
  <si>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</si>
  <si>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</si>
  <si>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</si>
  <si>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</si>
  <si>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</si>
  <si>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</si>
  <si>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</si>
  <si>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</si>
  <si>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</si>
  <si>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</si>
  <si>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</si>
  <si>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</si>
  <si>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</si>
  <si>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</si>
  <si>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</si>
  <si>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</si>
  <si>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</si>
  <si>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</si>
  <si>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Contralor Departamental del Guaviare</t>
  </si>
  <si>
    <t>Director Admistrativo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</si>
</sst>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Bookman Old Style"/>
      <family val="1"/>
    </font>
    <font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7" fillId="2" borderId="0" xfId="0" applyFont="1" applyFill="1"/>
    <xf numFmtId="0" fontId="0" fillId="2" borderId="0" xfId="0" applyFill="1" applyBorder="1"/>
    <xf numFmtId="0" fontId="2" fillId="2" borderId="0" xfId="0" applyFont="1" applyFill="1"/>
    <xf numFmtId="165" fontId="2" fillId="2" borderId="0" xfId="2" applyNumberFormat="1" applyFont="1" applyFill="1"/>
    <xf numFmtId="0" fontId="2" fillId="0" borderId="0" xfId="0" applyFont="1" applyFill="1"/>
    <xf numFmtId="0" fontId="4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Fill="1" applyBorder="1"/>
    <xf numFmtId="4" fontId="3" fillId="0" borderId="13" xfId="0" applyNumberFormat="1" applyFont="1" applyBorder="1"/>
    <xf numFmtId="165" fontId="3" fillId="0" borderId="14" xfId="2" applyNumberFormat="1" applyFont="1" applyBorder="1"/>
    <xf numFmtId="0" fontId="3" fillId="0" borderId="14" xfId="0" applyFont="1" applyBorder="1"/>
    <xf numFmtId="0" fontId="0" fillId="0" borderId="2" xfId="0" applyBorder="1"/>
    <xf numFmtId="0" fontId="3" fillId="0" borderId="2" xfId="0" applyFont="1" applyBorder="1" applyAlignment="1"/>
    <xf numFmtId="0" fontId="3" fillId="0" borderId="4" xfId="0" applyFont="1" applyBorder="1"/>
    <xf numFmtId="3" fontId="3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9" fontId="3" fillId="0" borderId="15" xfId="0" applyNumberFormat="1" applyFont="1" applyBorder="1" applyAlignment="1">
      <alignment horizontal="right"/>
    </xf>
    <xf numFmtId="165" fontId="3" fillId="0" borderId="15" xfId="2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9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/>
    <xf numFmtId="0" fontId="5" fillId="0" borderId="4" xfId="0" applyFont="1" applyBorder="1"/>
    <xf numFmtId="3" fontId="2" fillId="0" borderId="15" xfId="0" applyNumberFormat="1" applyFont="1" applyFill="1" applyBorder="1" applyAlignment="1">
      <alignment horizontal="right"/>
    </xf>
    <xf numFmtId="3" fontId="10" fillId="3" borderId="15" xfId="0" applyNumberFormat="1" applyFont="1" applyFill="1" applyBorder="1" applyAlignment="1">
      <alignment horizontal="right"/>
    </xf>
    <xf numFmtId="3" fontId="10" fillId="4" borderId="15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65" fontId="2" fillId="0" borderId="15" xfId="2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65" fontId="12" fillId="2" borderId="15" xfId="2" applyNumberFormat="1" applyFont="1" applyFill="1" applyBorder="1"/>
    <xf numFmtId="0" fontId="2" fillId="0" borderId="3" xfId="0" applyFont="1" applyBorder="1" applyAlignment="1">
      <alignment horizontal="left"/>
    </xf>
    <xf numFmtId="165" fontId="12" fillId="2" borderId="17" xfId="2" applyNumberFormat="1" applyFont="1" applyFill="1" applyBorder="1"/>
    <xf numFmtId="0" fontId="4" fillId="0" borderId="4" xfId="0" applyFont="1" applyBorder="1"/>
    <xf numFmtId="164" fontId="4" fillId="0" borderId="15" xfId="0" applyNumberFormat="1" applyFont="1" applyBorder="1"/>
    <xf numFmtId="3" fontId="13" fillId="3" borderId="15" xfId="0" applyNumberFormat="1" applyFont="1" applyFill="1" applyBorder="1" applyAlignment="1">
      <alignment horizontal="right"/>
    </xf>
    <xf numFmtId="3" fontId="14" fillId="4" borderId="15" xfId="0" applyNumberFormat="1" applyFont="1" applyFill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5" fillId="2" borderId="4" xfId="0" applyFont="1" applyFill="1" applyBorder="1"/>
    <xf numFmtId="0" fontId="5" fillId="0" borderId="4" xfId="0" applyFont="1" applyBorder="1" applyAlignment="1">
      <alignment horizontal="left"/>
    </xf>
    <xf numFmtId="165" fontId="16" fillId="0" borderId="15" xfId="2" applyNumberFormat="1" applyFont="1" applyFill="1" applyBorder="1"/>
    <xf numFmtId="0" fontId="4" fillId="0" borderId="4" xfId="0" applyFont="1" applyBorder="1" applyAlignment="1">
      <alignment horizontal="left"/>
    </xf>
    <xf numFmtId="164" fontId="4" fillId="0" borderId="15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165" fontId="17" fillId="0" borderId="15" xfId="2" applyNumberFormat="1" applyFont="1" applyFill="1" applyBorder="1"/>
    <xf numFmtId="9" fontId="3" fillId="2" borderId="3" xfId="0" applyNumberFormat="1" applyFont="1" applyFill="1" applyBorder="1" applyAlignment="1">
      <alignment horizontal="center"/>
    </xf>
    <xf numFmtId="3" fontId="18" fillId="0" borderId="15" xfId="0" applyNumberFormat="1" applyFont="1" applyBorder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" fontId="3" fillId="4" borderId="15" xfId="0" applyNumberFormat="1" applyFont="1" applyFill="1" applyBorder="1" applyAlignment="1">
      <alignment horizontal="right"/>
    </xf>
    <xf numFmtId="165" fontId="12" fillId="5" borderId="15" xfId="2" applyNumberFormat="1" applyFont="1" applyFill="1" applyBorder="1"/>
    <xf numFmtId="0" fontId="3" fillId="0" borderId="15" xfId="0" applyFont="1" applyFill="1" applyBorder="1" applyAlignment="1">
      <alignment horizontal="left"/>
    </xf>
    <xf numFmtId="3" fontId="0" fillId="0" borderId="0" xfId="0" applyNumberFormat="1"/>
    <xf numFmtId="165" fontId="0" fillId="0" borderId="0" xfId="2" applyNumberFormat="1" applyFont="1"/>
    <xf numFmtId="0" fontId="6" fillId="2" borderId="0" xfId="0" applyFont="1" applyFill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3" fillId="0" borderId="15" xfId="0" applyFont="1" applyBorder="1"/>
    <xf numFmtId="3" fontId="5" fillId="0" borderId="15" xfId="2" applyNumberFormat="1" applyFont="1" applyFill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4" fillId="2" borderId="1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5" fontId="4" fillId="2" borderId="7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0" fillId="0" borderId="0" xfId="0" applyFont="1"/>
    <xf numFmtId="0" fontId="4" fillId="2" borderId="2" xfId="0" applyFont="1" applyFill="1" applyBorder="1"/>
    <xf numFmtId="0" fontId="4" fillId="2" borderId="8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8" xfId="0" applyFont="1" applyFill="1" applyBorder="1"/>
    <xf numFmtId="0" fontId="4" fillId="4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4" fillId="2" borderId="11" xfId="2" applyNumberFormat="1" applyFont="1" applyFill="1" applyBorder="1" applyAlignment="1">
      <alignment horizontal="center"/>
    </xf>
    <xf numFmtId="0" fontId="20" fillId="2" borderId="10" xfId="0" applyFont="1" applyFill="1" applyBorder="1"/>
    <xf numFmtId="0" fontId="4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123825</xdr:colOff>
      <xdr:row>3</xdr:row>
      <xdr:rowOff>171450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sqref="A1:O1"/>
    </sheetView>
  </sheetViews>
  <sheetFormatPr baseColWidth="10" defaultRowHeight="15" x14ac:dyDescent="0.25"/>
  <cols>
    <col min="2" max="2" width="52.7109375" bestFit="1" customWidth="1"/>
    <col min="3" max="3" width="22.28515625" bestFit="1" customWidth="1"/>
    <col min="7" max="7" width="12.7109375" customWidth="1"/>
    <col min="8" max="8" width="15.7109375" bestFit="1" customWidth="1"/>
    <col min="9" max="9" width="13.42578125" customWidth="1"/>
    <col min="10" max="10" width="12.7109375" bestFit="1" customWidth="1"/>
    <col min="11" max="11" width="14.140625" bestFit="1" customWidth="1"/>
    <col min="13" max="13" width="15.28515625" bestFit="1" customWidth="1"/>
    <col min="14" max="14" width="14.140625" bestFit="1" customWidth="1"/>
  </cols>
  <sheetData>
    <row r="1" spans="1:15" ht="18" x14ac:dyDescent="0.25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" x14ac:dyDescent="0.25">
      <c r="A2" s="60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 x14ac:dyDescent="0.25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 thickBot="1" x14ac:dyDescent="0.3">
      <c r="A4" s="1"/>
      <c r="B4" s="3"/>
      <c r="C4" s="3"/>
      <c r="D4" s="3"/>
      <c r="E4" s="5"/>
      <c r="F4" s="5"/>
      <c r="G4" s="3"/>
      <c r="H4" s="3"/>
      <c r="I4" s="3"/>
      <c r="J4" s="3"/>
      <c r="K4" s="3"/>
      <c r="L4" s="3"/>
      <c r="M4" s="4"/>
      <c r="N4" s="3"/>
      <c r="O4" s="2"/>
    </row>
    <row r="5" spans="1:15" s="75" customFormat="1" ht="12.75" x14ac:dyDescent="0.2">
      <c r="A5" s="66" t="s">
        <v>100</v>
      </c>
      <c r="B5" s="67" t="s">
        <v>101</v>
      </c>
      <c r="C5" s="68" t="s">
        <v>102</v>
      </c>
      <c r="D5" s="69" t="s">
        <v>103</v>
      </c>
      <c r="E5" s="70" t="s">
        <v>104</v>
      </c>
      <c r="F5" s="71" t="s">
        <v>105</v>
      </c>
      <c r="G5" s="68" t="s">
        <v>106</v>
      </c>
      <c r="H5" s="69" t="s">
        <v>107</v>
      </c>
      <c r="I5" s="72" t="s">
        <v>108</v>
      </c>
      <c r="J5" s="68" t="s">
        <v>109</v>
      </c>
      <c r="K5" s="69" t="s">
        <v>110</v>
      </c>
      <c r="L5" s="72" t="s">
        <v>111</v>
      </c>
      <c r="M5" s="73" t="s">
        <v>107</v>
      </c>
      <c r="N5" s="68" t="s">
        <v>112</v>
      </c>
      <c r="O5" s="74" t="s">
        <v>111</v>
      </c>
    </row>
    <row r="6" spans="1:15" s="75" customFormat="1" ht="13.5" thickBot="1" x14ac:dyDescent="0.25">
      <c r="A6" s="76"/>
      <c r="B6" s="77"/>
      <c r="C6" s="78" t="s">
        <v>113</v>
      </c>
      <c r="D6" s="79"/>
      <c r="E6" s="80"/>
      <c r="F6" s="81"/>
      <c r="G6" s="82" t="s">
        <v>105</v>
      </c>
      <c r="H6" s="79" t="s">
        <v>102</v>
      </c>
      <c r="I6" s="83" t="s">
        <v>114</v>
      </c>
      <c r="J6" s="82" t="s">
        <v>115</v>
      </c>
      <c r="K6" s="79" t="s">
        <v>116</v>
      </c>
      <c r="L6" s="83"/>
      <c r="M6" s="84" t="s">
        <v>116</v>
      </c>
      <c r="N6" s="82" t="s">
        <v>117</v>
      </c>
      <c r="O6" s="85"/>
    </row>
    <row r="7" spans="1:15" x14ac:dyDescent="0.25">
      <c r="A7" s="6"/>
      <c r="B7" s="7"/>
      <c r="C7" s="63"/>
      <c r="D7" s="7"/>
      <c r="E7" s="9"/>
      <c r="F7" s="9"/>
      <c r="G7" s="8"/>
      <c r="H7" s="8"/>
      <c r="I7" s="10"/>
      <c r="J7" s="8"/>
      <c r="K7" s="8"/>
      <c r="L7" s="8"/>
      <c r="M7" s="11"/>
      <c r="N7" s="12"/>
      <c r="O7" s="13"/>
    </row>
    <row r="8" spans="1:15" ht="15.75" x14ac:dyDescent="0.25">
      <c r="A8" s="14" t="s">
        <v>0</v>
      </c>
      <c r="B8" s="15" t="s">
        <v>1</v>
      </c>
      <c r="C8" s="16">
        <f>C9+C10+C11+C12+C13+C14+C15+C16+C17</f>
        <v>530075640</v>
      </c>
      <c r="D8" s="61"/>
      <c r="E8" s="16">
        <f>E9+E10+E11+E12+E13+E14+E15+E16+E17</f>
        <v>0</v>
      </c>
      <c r="F8" s="16">
        <f>F9+F10+F11+F12+F13+F14+F15+F16+F17</f>
        <v>0</v>
      </c>
      <c r="G8" s="17">
        <f>G9+G10+G11+G12+G13+G14+G15+G16+G17</f>
        <v>46656253</v>
      </c>
      <c r="H8" s="16">
        <f>C8-D8+E8+F8-G8</f>
        <v>483419387</v>
      </c>
      <c r="I8" s="16">
        <f>I9+I10+I11+I12+I13+I14+I15+I16+I17</f>
        <v>69924973</v>
      </c>
      <c r="J8" s="16">
        <f>J9+J10+J11+J12+J13+J14+J15+J16+J17</f>
        <v>30572467</v>
      </c>
      <c r="K8" s="16">
        <f>K9+K10+K11+K12+K13+K14+K15+K16+K17</f>
        <v>100497440</v>
      </c>
      <c r="L8" s="18">
        <f t="shared" ref="L8:L58" si="0">K8/H8</f>
        <v>0.20788872499232225</v>
      </c>
      <c r="M8" s="19">
        <f>J8+I8</f>
        <v>100497440</v>
      </c>
      <c r="N8" s="20">
        <f>SUM(N9:N17)</f>
        <v>382921947</v>
      </c>
      <c r="O8" s="21">
        <f t="shared" ref="O8:O32" si="1">N8/H8</f>
        <v>0.79211127500767775</v>
      </c>
    </row>
    <row r="9" spans="1:15" x14ac:dyDescent="0.25">
      <c r="A9" s="22" t="s">
        <v>2</v>
      </c>
      <c r="B9" s="23" t="s">
        <v>3</v>
      </c>
      <c r="C9" s="64">
        <f>390500000+11029864</f>
        <v>401529864</v>
      </c>
      <c r="D9" s="62"/>
      <c r="E9" s="25"/>
      <c r="F9" s="26"/>
      <c r="G9" s="27">
        <f>33656253+13000000</f>
        <v>46656253</v>
      </c>
      <c r="H9" s="28">
        <f t="shared" ref="H9:H57" si="2">C9-D9+E9+F9-G9</f>
        <v>354873611</v>
      </c>
      <c r="I9" s="24">
        <f>18886115+28413095</f>
        <v>47299210</v>
      </c>
      <c r="J9" s="24">
        <v>28413095</v>
      </c>
      <c r="K9" s="28">
        <f>SUM(I9:J9)</f>
        <v>75712305</v>
      </c>
      <c r="L9" s="18">
        <f t="shared" si="0"/>
        <v>0.2133500566205809</v>
      </c>
      <c r="M9" s="29">
        <f t="shared" ref="M9:M57" si="3">J9+I9</f>
        <v>75712305</v>
      </c>
      <c r="N9" s="30">
        <f t="shared" ref="N9:N17" si="4">H9-K9</f>
        <v>279161306</v>
      </c>
      <c r="O9" s="21">
        <f t="shared" si="1"/>
        <v>0.78664994337941907</v>
      </c>
    </row>
    <row r="10" spans="1:15" x14ac:dyDescent="0.25">
      <c r="A10" s="22" t="s">
        <v>4</v>
      </c>
      <c r="B10" s="23" t="s">
        <v>5</v>
      </c>
      <c r="C10" s="64">
        <v>24045776</v>
      </c>
      <c r="D10" s="62"/>
      <c r="E10" s="25"/>
      <c r="F10" s="26"/>
      <c r="G10" s="27"/>
      <c r="H10" s="28">
        <f t="shared" si="2"/>
        <v>24045776</v>
      </c>
      <c r="I10" s="24">
        <f>768108+1920270</f>
        <v>2688378</v>
      </c>
      <c r="J10" s="24">
        <v>1920270</v>
      </c>
      <c r="K10" s="28">
        <f t="shared" ref="K10:K21" si="5">SUM(I10:J10)</f>
        <v>4608648</v>
      </c>
      <c r="L10" s="18">
        <f t="shared" si="0"/>
        <v>0.19166143775106281</v>
      </c>
      <c r="M10" s="29">
        <v>768108</v>
      </c>
      <c r="N10" s="30">
        <f t="shared" si="4"/>
        <v>19437128</v>
      </c>
      <c r="O10" s="21">
        <f t="shared" si="1"/>
        <v>0.80833856224893719</v>
      </c>
    </row>
    <row r="11" spans="1:15" x14ac:dyDescent="0.25">
      <c r="A11" s="22" t="s">
        <v>6</v>
      </c>
      <c r="B11" s="23" t="s">
        <v>7</v>
      </c>
      <c r="C11" s="65">
        <v>1100000</v>
      </c>
      <c r="D11" s="62"/>
      <c r="E11" s="25"/>
      <c r="F11" s="26"/>
      <c r="G11" s="27"/>
      <c r="H11" s="28">
        <f t="shared" si="2"/>
        <v>1100000</v>
      </c>
      <c r="I11" s="24">
        <f>72000+144000</f>
        <v>216000</v>
      </c>
      <c r="J11" s="24">
        <v>144000</v>
      </c>
      <c r="K11" s="28">
        <f t="shared" si="5"/>
        <v>360000</v>
      </c>
      <c r="L11" s="18">
        <f t="shared" si="0"/>
        <v>0.32727272727272727</v>
      </c>
      <c r="M11" s="29">
        <f t="shared" si="3"/>
        <v>360000</v>
      </c>
      <c r="N11" s="30">
        <f t="shared" si="4"/>
        <v>740000</v>
      </c>
      <c r="O11" s="21">
        <f t="shared" si="1"/>
        <v>0.67272727272727273</v>
      </c>
    </row>
    <row r="12" spans="1:15" x14ac:dyDescent="0.25">
      <c r="A12" s="22" t="s">
        <v>8</v>
      </c>
      <c r="B12" s="23" t="s">
        <v>9</v>
      </c>
      <c r="C12" s="65">
        <v>900000</v>
      </c>
      <c r="D12" s="62"/>
      <c r="E12" s="25"/>
      <c r="F12" s="26"/>
      <c r="G12" s="27"/>
      <c r="H12" s="28">
        <f t="shared" si="2"/>
        <v>900000</v>
      </c>
      <c r="I12" s="24">
        <f>52017+95102</f>
        <v>147119</v>
      </c>
      <c r="J12" s="24">
        <v>95102</v>
      </c>
      <c r="K12" s="28">
        <f t="shared" si="5"/>
        <v>242221</v>
      </c>
      <c r="L12" s="18">
        <f t="shared" si="0"/>
        <v>0.26913444444444445</v>
      </c>
      <c r="M12" s="29">
        <f t="shared" si="3"/>
        <v>242221</v>
      </c>
      <c r="N12" s="30">
        <f t="shared" si="4"/>
        <v>657779</v>
      </c>
      <c r="O12" s="21">
        <f t="shared" si="1"/>
        <v>0.73086555555555555</v>
      </c>
    </row>
    <row r="13" spans="1:15" x14ac:dyDescent="0.25">
      <c r="A13" s="22" t="s">
        <v>10</v>
      </c>
      <c r="B13" s="23" t="s">
        <v>11</v>
      </c>
      <c r="C13" s="64">
        <v>0</v>
      </c>
      <c r="D13" s="62"/>
      <c r="E13" s="25"/>
      <c r="F13" s="26"/>
      <c r="G13" s="27"/>
      <c r="H13" s="28">
        <f t="shared" si="2"/>
        <v>0</v>
      </c>
      <c r="I13" s="24"/>
      <c r="J13" s="31"/>
      <c r="K13" s="28">
        <f t="shared" si="5"/>
        <v>0</v>
      </c>
      <c r="L13" s="18">
        <v>0</v>
      </c>
      <c r="M13" s="29">
        <f t="shared" si="3"/>
        <v>0</v>
      </c>
      <c r="N13" s="30">
        <v>0</v>
      </c>
      <c r="O13" s="21">
        <v>0</v>
      </c>
    </row>
    <row r="14" spans="1:15" x14ac:dyDescent="0.25">
      <c r="A14" s="22" t="s">
        <v>12</v>
      </c>
      <c r="B14" s="23" t="s">
        <v>13</v>
      </c>
      <c r="C14" s="64">
        <v>18000000</v>
      </c>
      <c r="D14" s="62"/>
      <c r="E14" s="25"/>
      <c r="F14" s="26"/>
      <c r="G14" s="27"/>
      <c r="H14" s="28">
        <f t="shared" si="2"/>
        <v>18000000</v>
      </c>
      <c r="I14" s="24"/>
      <c r="J14" s="31"/>
      <c r="K14" s="28">
        <f t="shared" si="5"/>
        <v>0</v>
      </c>
      <c r="L14" s="18">
        <f t="shared" si="0"/>
        <v>0</v>
      </c>
      <c r="M14" s="29">
        <f t="shared" si="3"/>
        <v>0</v>
      </c>
      <c r="N14" s="30">
        <f t="shared" si="4"/>
        <v>18000000</v>
      </c>
      <c r="O14" s="21">
        <f t="shared" si="1"/>
        <v>1</v>
      </c>
    </row>
    <row r="15" spans="1:15" x14ac:dyDescent="0.25">
      <c r="A15" s="22" t="s">
        <v>14</v>
      </c>
      <c r="B15" s="23" t="s">
        <v>15</v>
      </c>
      <c r="C15" s="64">
        <v>24500000</v>
      </c>
      <c r="D15" s="62"/>
      <c r="E15" s="25"/>
      <c r="F15" s="26"/>
      <c r="G15" s="27"/>
      <c r="H15" s="28">
        <f t="shared" si="2"/>
        <v>24500000</v>
      </c>
      <c r="I15" s="24">
        <f>7288335</f>
        <v>7288335</v>
      </c>
      <c r="J15" s="31"/>
      <c r="K15" s="28">
        <f t="shared" si="5"/>
        <v>7288335</v>
      </c>
      <c r="L15" s="18">
        <f t="shared" si="0"/>
        <v>0.29748306122448981</v>
      </c>
      <c r="M15" s="29">
        <f t="shared" si="3"/>
        <v>7288335</v>
      </c>
      <c r="N15" s="30">
        <f t="shared" si="4"/>
        <v>17211665</v>
      </c>
      <c r="O15" s="21">
        <f t="shared" si="1"/>
        <v>0.70251693877551025</v>
      </c>
    </row>
    <row r="16" spans="1:15" x14ac:dyDescent="0.25">
      <c r="A16" s="32">
        <v>2020110108</v>
      </c>
      <c r="B16" s="23" t="s">
        <v>16</v>
      </c>
      <c r="C16" s="64">
        <v>28000000</v>
      </c>
      <c r="D16" s="62"/>
      <c r="E16" s="25"/>
      <c r="F16" s="26"/>
      <c r="G16" s="27"/>
      <c r="H16" s="28">
        <f t="shared" si="2"/>
        <v>28000000</v>
      </c>
      <c r="I16" s="24">
        <f>12285931</f>
        <v>12285931</v>
      </c>
      <c r="J16" s="31"/>
      <c r="K16" s="28">
        <f>SUM(I16:J16)</f>
        <v>12285931</v>
      </c>
      <c r="L16" s="18">
        <f t="shared" si="0"/>
        <v>0.43878325000000001</v>
      </c>
      <c r="M16" s="29">
        <f t="shared" si="3"/>
        <v>12285931</v>
      </c>
      <c r="N16" s="30">
        <f t="shared" si="4"/>
        <v>15714069</v>
      </c>
      <c r="O16" s="21">
        <f t="shared" si="1"/>
        <v>0.56121675000000004</v>
      </c>
    </row>
    <row r="17" spans="1:15" x14ac:dyDescent="0.25">
      <c r="A17" s="32">
        <v>2020110109</v>
      </c>
      <c r="B17" s="23" t="s">
        <v>17</v>
      </c>
      <c r="C17" s="64">
        <v>32000000</v>
      </c>
      <c r="D17" s="62"/>
      <c r="E17" s="25"/>
      <c r="F17" s="26"/>
      <c r="G17" s="27"/>
      <c r="H17" s="28">
        <f t="shared" si="2"/>
        <v>32000000</v>
      </c>
      <c r="I17" s="24"/>
      <c r="J17" s="33"/>
      <c r="K17" s="28">
        <f t="shared" si="5"/>
        <v>0</v>
      </c>
      <c r="L17" s="18">
        <f t="shared" si="0"/>
        <v>0</v>
      </c>
      <c r="M17" s="29">
        <f t="shared" si="3"/>
        <v>0</v>
      </c>
      <c r="N17" s="30">
        <f t="shared" si="4"/>
        <v>32000000</v>
      </c>
      <c r="O17" s="21">
        <f t="shared" si="1"/>
        <v>1</v>
      </c>
    </row>
    <row r="18" spans="1:15" ht="15.75" x14ac:dyDescent="0.25">
      <c r="A18" s="14" t="s">
        <v>18</v>
      </c>
      <c r="B18" s="34" t="s">
        <v>19</v>
      </c>
      <c r="C18" s="35">
        <f>C19+C20+C21</f>
        <v>56536497</v>
      </c>
      <c r="D18" s="62"/>
      <c r="E18" s="36">
        <f>E19+E20+E21</f>
        <v>0</v>
      </c>
      <c r="F18" s="37">
        <f>F19+F20+F21</f>
        <v>33656253</v>
      </c>
      <c r="G18" s="38">
        <f>G19+G20+G21</f>
        <v>0</v>
      </c>
      <c r="H18" s="16">
        <f t="shared" si="2"/>
        <v>90192750</v>
      </c>
      <c r="I18" s="39">
        <f>I19+I20+I21</f>
        <v>90192750</v>
      </c>
      <c r="J18" s="39">
        <f>J19+J20+J21</f>
        <v>0</v>
      </c>
      <c r="K18" s="16">
        <f>K19+K20+K21</f>
        <v>90192750</v>
      </c>
      <c r="L18" s="18">
        <f t="shared" si="0"/>
        <v>1</v>
      </c>
      <c r="M18" s="19">
        <f t="shared" si="3"/>
        <v>90192750</v>
      </c>
      <c r="N18" s="40">
        <f>SUM(N19:N21)</f>
        <v>0</v>
      </c>
      <c r="O18" s="21">
        <f t="shared" si="1"/>
        <v>0</v>
      </c>
    </row>
    <row r="19" spans="1:15" x14ac:dyDescent="0.25">
      <c r="A19" s="22" t="s">
        <v>20</v>
      </c>
      <c r="B19" s="41" t="s">
        <v>21</v>
      </c>
      <c r="C19" s="64">
        <v>56536497</v>
      </c>
      <c r="D19" s="62"/>
      <c r="E19" s="25"/>
      <c r="F19" s="26">
        <v>33656253</v>
      </c>
      <c r="G19" s="27"/>
      <c r="H19" s="28">
        <f t="shared" si="2"/>
        <v>90192750</v>
      </c>
      <c r="I19" s="24">
        <f>90192750</f>
        <v>90192750</v>
      </c>
      <c r="J19" s="24"/>
      <c r="K19" s="28">
        <f t="shared" si="5"/>
        <v>90192750</v>
      </c>
      <c r="L19" s="18">
        <f t="shared" si="0"/>
        <v>1</v>
      </c>
      <c r="M19" s="29">
        <f t="shared" si="3"/>
        <v>90192750</v>
      </c>
      <c r="N19" s="30">
        <f>H19-K19</f>
        <v>0</v>
      </c>
      <c r="O19" s="21">
        <f t="shared" si="1"/>
        <v>0</v>
      </c>
    </row>
    <row r="20" spans="1:15" x14ac:dyDescent="0.25">
      <c r="A20" s="22" t="s">
        <v>22</v>
      </c>
      <c r="B20" s="23" t="s">
        <v>23</v>
      </c>
      <c r="C20" s="65">
        <v>0</v>
      </c>
      <c r="D20" s="62"/>
      <c r="E20" s="25"/>
      <c r="F20" s="26"/>
      <c r="G20" s="27"/>
      <c r="H20" s="28">
        <f t="shared" si="2"/>
        <v>0</v>
      </c>
      <c r="I20" s="24"/>
      <c r="J20" s="24"/>
      <c r="K20" s="28">
        <f t="shared" si="5"/>
        <v>0</v>
      </c>
      <c r="L20" s="18" t="e">
        <f t="shared" si="0"/>
        <v>#DIV/0!</v>
      </c>
      <c r="M20" s="29">
        <f t="shared" si="3"/>
        <v>0</v>
      </c>
      <c r="N20" s="30">
        <f>H20-K20</f>
        <v>0</v>
      </c>
      <c r="O20" s="21">
        <v>0</v>
      </c>
    </row>
    <row r="21" spans="1:15" x14ac:dyDescent="0.25">
      <c r="A21" s="22" t="s">
        <v>24</v>
      </c>
      <c r="B21" s="42" t="s">
        <v>25</v>
      </c>
      <c r="C21" s="64">
        <v>0</v>
      </c>
      <c r="D21" s="62"/>
      <c r="E21" s="25"/>
      <c r="F21" s="43"/>
      <c r="G21" s="27"/>
      <c r="H21" s="28">
        <f t="shared" si="2"/>
        <v>0</v>
      </c>
      <c r="I21" s="24"/>
      <c r="J21" s="31"/>
      <c r="K21" s="28">
        <f t="shared" si="5"/>
        <v>0</v>
      </c>
      <c r="L21" s="18" t="e">
        <f t="shared" si="0"/>
        <v>#DIV/0!</v>
      </c>
      <c r="M21" s="29">
        <f t="shared" si="3"/>
        <v>0</v>
      </c>
      <c r="N21" s="30">
        <f>H21-K21</f>
        <v>0</v>
      </c>
      <c r="O21" s="21">
        <v>0</v>
      </c>
    </row>
    <row r="22" spans="1:15" ht="15.75" x14ac:dyDescent="0.25">
      <c r="A22" s="14" t="s">
        <v>26</v>
      </c>
      <c r="B22" s="44" t="s">
        <v>27</v>
      </c>
      <c r="C22" s="45">
        <f>C23+C24+C25+C26</f>
        <v>61000000</v>
      </c>
      <c r="D22" s="61"/>
      <c r="E22" s="16">
        <f>E23+E24+E31+E32+E33+E36+E37+E44</f>
        <v>0</v>
      </c>
      <c r="F22" s="16">
        <f>F23+F24+F25+F26</f>
        <v>0</v>
      </c>
      <c r="G22" s="17">
        <f>G23+G24+G25+G26</f>
        <v>0</v>
      </c>
      <c r="H22" s="16">
        <f t="shared" si="2"/>
        <v>61000000</v>
      </c>
      <c r="I22" s="16">
        <f>I23+I24+I25+I26</f>
        <v>2198000</v>
      </c>
      <c r="J22" s="16">
        <f>J23+J24+J25+J26</f>
        <v>12193900</v>
      </c>
      <c r="K22" s="16">
        <f>K23+K24+K25+K26</f>
        <v>14391900</v>
      </c>
      <c r="L22" s="18">
        <f t="shared" si="0"/>
        <v>0.23593278688524591</v>
      </c>
      <c r="M22" s="19">
        <f t="shared" si="3"/>
        <v>14391900</v>
      </c>
      <c r="N22" s="20">
        <f>SUM(N23:N26)</f>
        <v>46608100</v>
      </c>
      <c r="O22" s="21">
        <f t="shared" si="1"/>
        <v>0.76406721311475412</v>
      </c>
    </row>
    <row r="23" spans="1:15" x14ac:dyDescent="0.25">
      <c r="A23" s="22" t="s">
        <v>28</v>
      </c>
      <c r="B23" s="42" t="s">
        <v>29</v>
      </c>
      <c r="C23" s="64">
        <v>10000000</v>
      </c>
      <c r="D23" s="62"/>
      <c r="E23" s="25"/>
      <c r="F23" s="26"/>
      <c r="G23" s="27"/>
      <c r="H23" s="28">
        <f t="shared" si="2"/>
        <v>10000000</v>
      </c>
      <c r="I23" s="24"/>
      <c r="J23" s="31"/>
      <c r="K23" s="28">
        <f t="shared" ref="K23:K57" si="6">SUM(I23:J23)</f>
        <v>0</v>
      </c>
      <c r="L23" s="18">
        <f t="shared" si="0"/>
        <v>0</v>
      </c>
      <c r="M23" s="19">
        <f t="shared" si="3"/>
        <v>0</v>
      </c>
      <c r="N23" s="30">
        <f>H23-K23</f>
        <v>10000000</v>
      </c>
      <c r="O23" s="21">
        <f t="shared" si="1"/>
        <v>1</v>
      </c>
    </row>
    <row r="24" spans="1:15" x14ac:dyDescent="0.25">
      <c r="A24" s="22" t="s">
        <v>30</v>
      </c>
      <c r="B24" s="46" t="s">
        <v>31</v>
      </c>
      <c r="C24" s="64">
        <v>50000000</v>
      </c>
      <c r="D24" s="62"/>
      <c r="E24" s="25"/>
      <c r="F24" s="47"/>
      <c r="G24" s="27"/>
      <c r="H24" s="28">
        <f t="shared" si="2"/>
        <v>50000000</v>
      </c>
      <c r="I24" s="24">
        <f>1100000+1098000</f>
        <v>2198000</v>
      </c>
      <c r="J24" s="24">
        <v>12193900</v>
      </c>
      <c r="K24" s="28">
        <f t="shared" si="6"/>
        <v>14391900</v>
      </c>
      <c r="L24" s="18">
        <f t="shared" si="0"/>
        <v>0.28783799999999998</v>
      </c>
      <c r="M24" s="29">
        <f t="shared" si="3"/>
        <v>14391900</v>
      </c>
      <c r="N24" s="30">
        <f>H24-K24</f>
        <v>35608100</v>
      </c>
      <c r="O24" s="48">
        <f t="shared" si="1"/>
        <v>0.71216199999999996</v>
      </c>
    </row>
    <row r="25" spans="1:15" x14ac:dyDescent="0.25">
      <c r="A25" s="22" t="s">
        <v>32</v>
      </c>
      <c r="B25" s="42" t="s">
        <v>33</v>
      </c>
      <c r="C25" s="65">
        <v>1000000</v>
      </c>
      <c r="D25" s="62"/>
      <c r="E25" s="25"/>
      <c r="F25" s="26"/>
      <c r="G25" s="49"/>
      <c r="H25" s="28">
        <f t="shared" si="2"/>
        <v>1000000</v>
      </c>
      <c r="I25" s="24"/>
      <c r="J25" s="24"/>
      <c r="K25" s="28">
        <f t="shared" si="6"/>
        <v>0</v>
      </c>
      <c r="L25" s="18">
        <f t="shared" si="0"/>
        <v>0</v>
      </c>
      <c r="M25" s="19">
        <f t="shared" si="3"/>
        <v>0</v>
      </c>
      <c r="N25" s="30">
        <f>H25-K25</f>
        <v>1000000</v>
      </c>
      <c r="O25" s="48">
        <f t="shared" si="1"/>
        <v>1</v>
      </c>
    </row>
    <row r="26" spans="1:15" x14ac:dyDescent="0.25">
      <c r="A26" s="22" t="s">
        <v>34</v>
      </c>
      <c r="B26" s="42" t="s">
        <v>35</v>
      </c>
      <c r="C26" s="65">
        <v>0</v>
      </c>
      <c r="D26" s="62"/>
      <c r="E26" s="25"/>
      <c r="F26" s="26"/>
      <c r="G26" s="27"/>
      <c r="H26" s="28">
        <f t="shared" si="2"/>
        <v>0</v>
      </c>
      <c r="I26" s="24"/>
      <c r="J26" s="24"/>
      <c r="K26" s="28">
        <f t="shared" si="6"/>
        <v>0</v>
      </c>
      <c r="L26" s="18" t="e">
        <f t="shared" si="0"/>
        <v>#DIV/0!</v>
      </c>
      <c r="M26" s="19">
        <f t="shared" si="3"/>
        <v>0</v>
      </c>
      <c r="N26" s="30">
        <f>H26-K26</f>
        <v>0</v>
      </c>
      <c r="O26" s="48">
        <v>0</v>
      </c>
    </row>
    <row r="27" spans="1:15" ht="15.75" x14ac:dyDescent="0.25">
      <c r="A27" s="14" t="s">
        <v>36</v>
      </c>
      <c r="B27" s="44" t="s">
        <v>37</v>
      </c>
      <c r="C27" s="35">
        <f>C28+C29+C30+C31+C32+C33+C34+C35+C36+C37+C38+C39+C40+C41</f>
        <v>135222165</v>
      </c>
      <c r="D27" s="62"/>
      <c r="E27" s="50">
        <f>E28+E29+E39+E41</f>
        <v>0</v>
      </c>
      <c r="F27" s="37">
        <f>F28+F29+F30+F31+F32+F33+F34+F35+F36+F37+F38+F39+F40+F41</f>
        <v>13000000</v>
      </c>
      <c r="G27" s="38">
        <f>G28+G29+G30+G31+G32+G33+G34+G35+G36+G37+G38+G39+G40+G41</f>
        <v>0</v>
      </c>
      <c r="H27" s="16">
        <f t="shared" si="2"/>
        <v>148222165</v>
      </c>
      <c r="I27" s="39">
        <f>I28+I29+I30+I31+I32+I33+I34+I35+I36+I37+I38+I39+I40+I41</f>
        <v>15837717</v>
      </c>
      <c r="J27" s="51">
        <f>J28+J29+J30+J31+J32+J33+J34+J35+J36+J37+J38+J39+J40</f>
        <v>31074228</v>
      </c>
      <c r="K27" s="16">
        <f>K28+K29+K30+K31+K32+K33+K34+K35+K36+K37+K38+K39+K40</f>
        <v>46911945</v>
      </c>
      <c r="L27" s="18">
        <f t="shared" si="0"/>
        <v>0.31649750224603723</v>
      </c>
      <c r="M27" s="19">
        <f t="shared" si="3"/>
        <v>46911945</v>
      </c>
      <c r="N27" s="40">
        <f>SUM(N28:N41)</f>
        <v>101310220</v>
      </c>
      <c r="O27" s="48">
        <f t="shared" si="1"/>
        <v>0.68350249775396277</v>
      </c>
    </row>
    <row r="28" spans="1:15" x14ac:dyDescent="0.25">
      <c r="A28" s="22" t="s">
        <v>38</v>
      </c>
      <c r="B28" s="42" t="s">
        <v>39</v>
      </c>
      <c r="C28" s="64">
        <v>20000000</v>
      </c>
      <c r="D28" s="62"/>
      <c r="E28" s="25"/>
      <c r="F28" s="26"/>
      <c r="G28" s="27"/>
      <c r="H28" s="28">
        <f t="shared" si="2"/>
        <v>20000000</v>
      </c>
      <c r="I28" s="24">
        <f>1000000+989620</f>
        <v>1989620</v>
      </c>
      <c r="J28" s="24">
        <v>1958900</v>
      </c>
      <c r="K28" s="28">
        <f t="shared" si="6"/>
        <v>3948520</v>
      </c>
      <c r="L28" s="18">
        <f t="shared" si="0"/>
        <v>0.19742599999999999</v>
      </c>
      <c r="M28" s="29">
        <f t="shared" si="3"/>
        <v>3948520</v>
      </c>
      <c r="N28" s="30">
        <f t="shared" ref="N28:N39" si="7">H28-K28</f>
        <v>16051480</v>
      </c>
      <c r="O28" s="48">
        <f t="shared" si="1"/>
        <v>0.80257400000000001</v>
      </c>
    </row>
    <row r="29" spans="1:15" x14ac:dyDescent="0.25">
      <c r="A29" s="22" t="s">
        <v>40</v>
      </c>
      <c r="B29" s="42" t="s">
        <v>41</v>
      </c>
      <c r="C29" s="64">
        <v>31000000</v>
      </c>
      <c r="D29" s="62"/>
      <c r="E29" s="25"/>
      <c r="F29" s="26">
        <v>10000000</v>
      </c>
      <c r="G29" s="27"/>
      <c r="H29" s="28">
        <f t="shared" si="2"/>
        <v>41000000</v>
      </c>
      <c r="I29" s="24">
        <f>1690221+5217596</f>
        <v>6907817</v>
      </c>
      <c r="J29" s="24">
        <v>20748612</v>
      </c>
      <c r="K29" s="28">
        <f t="shared" si="6"/>
        <v>27656429</v>
      </c>
      <c r="L29" s="18">
        <f t="shared" si="0"/>
        <v>0.67454704878048777</v>
      </c>
      <c r="M29" s="29">
        <f t="shared" si="3"/>
        <v>27656429</v>
      </c>
      <c r="N29" s="30">
        <f t="shared" si="7"/>
        <v>13343571</v>
      </c>
      <c r="O29" s="48">
        <f t="shared" si="1"/>
        <v>0.32545295121951218</v>
      </c>
    </row>
    <row r="30" spans="1:15" x14ac:dyDescent="0.25">
      <c r="A30" s="22" t="s">
        <v>42</v>
      </c>
      <c r="B30" s="42" t="s">
        <v>43</v>
      </c>
      <c r="C30" s="64">
        <v>4400000</v>
      </c>
      <c r="D30" s="62"/>
      <c r="E30" s="25"/>
      <c r="F30" s="26"/>
      <c r="G30" s="27"/>
      <c r="H30" s="28">
        <f t="shared" si="2"/>
        <v>4400000</v>
      </c>
      <c r="I30" s="24">
        <f>400000+392482</f>
        <v>792482</v>
      </c>
      <c r="J30" s="24">
        <v>715800</v>
      </c>
      <c r="K30" s="28">
        <f t="shared" si="6"/>
        <v>1508282</v>
      </c>
      <c r="L30" s="18">
        <f t="shared" si="0"/>
        <v>0.34279136363636364</v>
      </c>
      <c r="M30" s="29">
        <f t="shared" si="3"/>
        <v>1508282</v>
      </c>
      <c r="N30" s="30">
        <f t="shared" si="7"/>
        <v>2891718</v>
      </c>
      <c r="O30" s="48">
        <f t="shared" si="1"/>
        <v>0.65720863636363636</v>
      </c>
    </row>
    <row r="31" spans="1:15" x14ac:dyDescent="0.25">
      <c r="A31" s="22" t="s">
        <v>44</v>
      </c>
      <c r="B31" s="42" t="s">
        <v>45</v>
      </c>
      <c r="C31" s="65">
        <v>10000000</v>
      </c>
      <c r="D31" s="62"/>
      <c r="E31" s="25"/>
      <c r="F31" s="26"/>
      <c r="G31" s="27"/>
      <c r="H31" s="28">
        <f t="shared" si="2"/>
        <v>10000000</v>
      </c>
      <c r="I31" s="24"/>
      <c r="J31" s="31">
        <v>2034400</v>
      </c>
      <c r="K31" s="28">
        <f t="shared" si="6"/>
        <v>2034400</v>
      </c>
      <c r="L31" s="18">
        <f t="shared" si="0"/>
        <v>0.20344000000000001</v>
      </c>
      <c r="M31" s="29">
        <f t="shared" si="3"/>
        <v>2034400</v>
      </c>
      <c r="N31" s="30">
        <f t="shared" si="7"/>
        <v>7965600</v>
      </c>
      <c r="O31" s="21">
        <f t="shared" si="1"/>
        <v>0.79656000000000005</v>
      </c>
    </row>
    <row r="32" spans="1:15" x14ac:dyDescent="0.25">
      <c r="A32" s="22" t="s">
        <v>46</v>
      </c>
      <c r="B32" s="42" t="s">
        <v>47</v>
      </c>
      <c r="C32" s="65">
        <v>4800000</v>
      </c>
      <c r="D32" s="62"/>
      <c r="E32" s="25"/>
      <c r="F32" s="26"/>
      <c r="G32" s="27"/>
      <c r="H32" s="28">
        <f t="shared" si="2"/>
        <v>4800000</v>
      </c>
      <c r="I32" s="24">
        <f>503294+691583</f>
        <v>1194877</v>
      </c>
      <c r="J32" s="31"/>
      <c r="K32" s="28">
        <f t="shared" si="6"/>
        <v>1194877</v>
      </c>
      <c r="L32" s="18">
        <f t="shared" si="0"/>
        <v>0.24893270833333334</v>
      </c>
      <c r="M32" s="29">
        <f t="shared" si="3"/>
        <v>1194877</v>
      </c>
      <c r="N32" s="30">
        <f t="shared" si="7"/>
        <v>3605123</v>
      </c>
      <c r="O32" s="21">
        <f t="shared" si="1"/>
        <v>0.75106729166666664</v>
      </c>
    </row>
    <row r="33" spans="1:15" x14ac:dyDescent="0.25">
      <c r="A33" s="22" t="s">
        <v>48</v>
      </c>
      <c r="B33" s="42" t="s">
        <v>49</v>
      </c>
      <c r="C33" s="65">
        <v>3200000</v>
      </c>
      <c r="D33" s="62"/>
      <c r="E33" s="25"/>
      <c r="F33" s="26"/>
      <c r="G33" s="27"/>
      <c r="H33" s="28">
        <f t="shared" si="2"/>
        <v>3200000</v>
      </c>
      <c r="I33" s="24"/>
      <c r="J33" s="31"/>
      <c r="K33" s="28">
        <f t="shared" si="6"/>
        <v>0</v>
      </c>
      <c r="L33" s="18">
        <f t="shared" si="0"/>
        <v>0</v>
      </c>
      <c r="M33" s="29">
        <f t="shared" si="3"/>
        <v>0</v>
      </c>
      <c r="N33" s="30">
        <f t="shared" si="7"/>
        <v>3200000</v>
      </c>
      <c r="O33" s="21">
        <v>0</v>
      </c>
    </row>
    <row r="34" spans="1:15" x14ac:dyDescent="0.25">
      <c r="A34" s="22" t="s">
        <v>50</v>
      </c>
      <c r="B34" s="46" t="s">
        <v>51</v>
      </c>
      <c r="C34" s="65">
        <v>3822165</v>
      </c>
      <c r="D34" s="62"/>
      <c r="E34" s="25"/>
      <c r="F34" s="26"/>
      <c r="G34" s="27"/>
      <c r="H34" s="28">
        <f t="shared" si="2"/>
        <v>3822165</v>
      </c>
      <c r="I34" s="24"/>
      <c r="J34" s="24"/>
      <c r="K34" s="28">
        <f t="shared" si="6"/>
        <v>0</v>
      </c>
      <c r="L34" s="18">
        <f t="shared" si="0"/>
        <v>0</v>
      </c>
      <c r="M34" s="29">
        <f t="shared" si="3"/>
        <v>0</v>
      </c>
      <c r="N34" s="30">
        <f t="shared" si="7"/>
        <v>3822165</v>
      </c>
      <c r="O34" s="21">
        <f t="shared" ref="O34:O44" si="8">N34/H34</f>
        <v>1</v>
      </c>
    </row>
    <row r="35" spans="1:15" x14ac:dyDescent="0.25">
      <c r="A35" s="22" t="s">
        <v>52</v>
      </c>
      <c r="B35" s="42" t="s">
        <v>53</v>
      </c>
      <c r="C35" s="65">
        <v>0</v>
      </c>
      <c r="D35" s="62"/>
      <c r="E35" s="25"/>
      <c r="F35" s="26">
        <v>3000000</v>
      </c>
      <c r="G35" s="27"/>
      <c r="H35" s="28">
        <f t="shared" si="2"/>
        <v>3000000</v>
      </c>
      <c r="I35" s="24"/>
      <c r="J35" s="24">
        <v>3000000</v>
      </c>
      <c r="K35" s="28">
        <f t="shared" si="6"/>
        <v>3000000</v>
      </c>
      <c r="L35" s="18">
        <f t="shared" si="0"/>
        <v>1</v>
      </c>
      <c r="M35" s="29">
        <f t="shared" si="3"/>
        <v>3000000</v>
      </c>
      <c r="N35" s="30">
        <f t="shared" si="7"/>
        <v>0</v>
      </c>
      <c r="O35" s="21">
        <f t="shared" si="8"/>
        <v>0</v>
      </c>
    </row>
    <row r="36" spans="1:15" x14ac:dyDescent="0.25">
      <c r="A36" s="22" t="s">
        <v>54</v>
      </c>
      <c r="B36" s="42" t="s">
        <v>55</v>
      </c>
      <c r="C36" s="65">
        <v>13000000</v>
      </c>
      <c r="D36" s="62"/>
      <c r="E36" s="25"/>
      <c r="F36" s="26"/>
      <c r="G36" s="27"/>
      <c r="H36" s="28">
        <f t="shared" si="2"/>
        <v>13000000</v>
      </c>
      <c r="I36" s="24">
        <f>4952921</f>
        <v>4952921</v>
      </c>
      <c r="J36" s="24"/>
      <c r="K36" s="28">
        <f t="shared" si="6"/>
        <v>4952921</v>
      </c>
      <c r="L36" s="18">
        <f t="shared" si="0"/>
        <v>0.38099392307692309</v>
      </c>
      <c r="M36" s="29">
        <f t="shared" si="3"/>
        <v>4952921</v>
      </c>
      <c r="N36" s="30">
        <f t="shared" si="7"/>
        <v>8047079</v>
      </c>
      <c r="O36" s="21">
        <f t="shared" si="8"/>
        <v>0.61900607692307696</v>
      </c>
    </row>
    <row r="37" spans="1:15" x14ac:dyDescent="0.25">
      <c r="A37" s="22" t="s">
        <v>56</v>
      </c>
      <c r="B37" s="46" t="s">
        <v>57</v>
      </c>
      <c r="C37" s="65">
        <v>19500000</v>
      </c>
      <c r="D37" s="62"/>
      <c r="E37" s="25"/>
      <c r="F37" s="26"/>
      <c r="G37" s="27"/>
      <c r="H37" s="28">
        <f t="shared" si="2"/>
        <v>19500000</v>
      </c>
      <c r="I37" s="24"/>
      <c r="J37" s="24">
        <v>2616516</v>
      </c>
      <c r="K37" s="28">
        <f t="shared" si="6"/>
        <v>2616516</v>
      </c>
      <c r="L37" s="18">
        <f t="shared" si="0"/>
        <v>0.13418030769230768</v>
      </c>
      <c r="M37" s="29">
        <f t="shared" si="3"/>
        <v>2616516</v>
      </c>
      <c r="N37" s="30">
        <f t="shared" si="7"/>
        <v>16883484</v>
      </c>
      <c r="O37" s="48">
        <f t="shared" si="8"/>
        <v>0.86581969230769229</v>
      </c>
    </row>
    <row r="38" spans="1:15" x14ac:dyDescent="0.25">
      <c r="A38" s="22" t="s">
        <v>58</v>
      </c>
      <c r="B38" s="42" t="s">
        <v>59</v>
      </c>
      <c r="C38" s="65">
        <v>3000000</v>
      </c>
      <c r="D38" s="62"/>
      <c r="E38" s="25"/>
      <c r="F38" s="26"/>
      <c r="G38" s="27"/>
      <c r="H38" s="28">
        <f t="shared" si="2"/>
        <v>3000000</v>
      </c>
      <c r="I38" s="24"/>
      <c r="J38" s="24"/>
      <c r="K38" s="28">
        <f t="shared" si="6"/>
        <v>0</v>
      </c>
      <c r="L38" s="18">
        <f t="shared" si="0"/>
        <v>0</v>
      </c>
      <c r="M38" s="29">
        <f t="shared" si="3"/>
        <v>0</v>
      </c>
      <c r="N38" s="30">
        <f t="shared" si="7"/>
        <v>3000000</v>
      </c>
      <c r="O38" s="48">
        <f t="shared" si="8"/>
        <v>1</v>
      </c>
    </row>
    <row r="39" spans="1:15" x14ac:dyDescent="0.25">
      <c r="A39" s="22" t="s">
        <v>60</v>
      </c>
      <c r="B39" s="42" t="s">
        <v>61</v>
      </c>
      <c r="C39" s="65">
        <v>19500000</v>
      </c>
      <c r="D39" s="62"/>
      <c r="E39" s="25"/>
      <c r="F39" s="26"/>
      <c r="G39" s="27"/>
      <c r="H39" s="28">
        <f t="shared" si="2"/>
        <v>19500000</v>
      </c>
      <c r="I39" s="24"/>
      <c r="J39" s="24"/>
      <c r="K39" s="28">
        <f t="shared" si="6"/>
        <v>0</v>
      </c>
      <c r="L39" s="18">
        <f t="shared" si="0"/>
        <v>0</v>
      </c>
      <c r="M39" s="29">
        <f t="shared" si="3"/>
        <v>0</v>
      </c>
      <c r="N39" s="30">
        <f t="shared" si="7"/>
        <v>19500000</v>
      </c>
      <c r="O39" s="21">
        <f t="shared" si="8"/>
        <v>1</v>
      </c>
    </row>
    <row r="40" spans="1:15" x14ac:dyDescent="0.25">
      <c r="A40" s="22" t="s">
        <v>62</v>
      </c>
      <c r="B40" s="42" t="s">
        <v>63</v>
      </c>
      <c r="C40" s="65">
        <v>3000000</v>
      </c>
      <c r="D40" s="62"/>
      <c r="E40" s="25"/>
      <c r="F40" s="26"/>
      <c r="G40" s="27"/>
      <c r="H40" s="28">
        <f t="shared" si="2"/>
        <v>3000000</v>
      </c>
      <c r="I40" s="24"/>
      <c r="J40" s="24"/>
      <c r="K40" s="28">
        <f t="shared" si="6"/>
        <v>0</v>
      </c>
      <c r="L40" s="18">
        <f>K40/H40</f>
        <v>0</v>
      </c>
      <c r="M40" s="29">
        <f t="shared" si="3"/>
        <v>0</v>
      </c>
      <c r="N40" s="30">
        <f>H40-K40</f>
        <v>3000000</v>
      </c>
      <c r="O40" s="21">
        <f t="shared" si="8"/>
        <v>1</v>
      </c>
    </row>
    <row r="41" spans="1:15" x14ac:dyDescent="0.25">
      <c r="A41" s="22" t="s">
        <v>64</v>
      </c>
      <c r="B41" s="42" t="s">
        <v>65</v>
      </c>
      <c r="C41" s="65">
        <v>0</v>
      </c>
      <c r="D41" s="62"/>
      <c r="E41" s="25"/>
      <c r="F41" s="26"/>
      <c r="G41" s="27"/>
      <c r="H41" s="28">
        <f t="shared" si="2"/>
        <v>0</v>
      </c>
      <c r="I41" s="24"/>
      <c r="J41" s="24"/>
      <c r="K41" s="28">
        <f t="shared" si="6"/>
        <v>0</v>
      </c>
      <c r="L41" s="18" t="e">
        <f>K41/H41</f>
        <v>#DIV/0!</v>
      </c>
      <c r="M41" s="29">
        <f t="shared" si="3"/>
        <v>0</v>
      </c>
      <c r="N41" s="30">
        <f>H41-K41</f>
        <v>0</v>
      </c>
      <c r="O41" s="21">
        <v>0</v>
      </c>
    </row>
    <row r="42" spans="1:15" ht="15.75" x14ac:dyDescent="0.25">
      <c r="A42" s="14" t="s">
        <v>66</v>
      </c>
      <c r="B42" s="44" t="s">
        <v>67</v>
      </c>
      <c r="C42" s="35">
        <f>C43+C44+C45+C46</f>
        <v>94200000</v>
      </c>
      <c r="D42" s="62"/>
      <c r="E42" s="36">
        <f>E43+E44+E45+E46</f>
        <v>0</v>
      </c>
      <c r="F42" s="52">
        <f>F43+F44+F45+F46</f>
        <v>0</v>
      </c>
      <c r="G42" s="38">
        <f>G43+G44+G45+G46</f>
        <v>0</v>
      </c>
      <c r="H42" s="16">
        <f t="shared" si="2"/>
        <v>94200000</v>
      </c>
      <c r="I42" s="39">
        <f>I43+I44+I45+I46</f>
        <v>8165899</v>
      </c>
      <c r="J42" s="51">
        <f>J43+J44+J45+J46</f>
        <v>5901159</v>
      </c>
      <c r="K42" s="16">
        <f>K43+K44+K45+K46</f>
        <v>14067058</v>
      </c>
      <c r="L42" s="18">
        <f t="shared" si="0"/>
        <v>0.14933182590233546</v>
      </c>
      <c r="M42" s="19">
        <f t="shared" si="3"/>
        <v>14067058</v>
      </c>
      <c r="N42" s="40">
        <f>SUM(N43:N46)</f>
        <v>80132942</v>
      </c>
      <c r="O42" s="21">
        <f t="shared" si="8"/>
        <v>0.8506681740976646</v>
      </c>
    </row>
    <row r="43" spans="1:15" x14ac:dyDescent="0.25">
      <c r="A43" s="22" t="s">
        <v>68</v>
      </c>
      <c r="B43" s="42" t="s">
        <v>69</v>
      </c>
      <c r="C43" s="64">
        <v>25000000</v>
      </c>
      <c r="D43" s="62"/>
      <c r="E43" s="25"/>
      <c r="F43" s="26"/>
      <c r="G43" s="27"/>
      <c r="H43" s="28">
        <f t="shared" si="2"/>
        <v>25000000</v>
      </c>
      <c r="I43" s="24">
        <f>1436136</f>
        <v>1436136</v>
      </c>
      <c r="J43" s="24"/>
      <c r="K43" s="28">
        <f t="shared" si="6"/>
        <v>1436136</v>
      </c>
      <c r="L43" s="18">
        <f t="shared" si="0"/>
        <v>5.744544E-2</v>
      </c>
      <c r="M43" s="29">
        <f t="shared" si="3"/>
        <v>1436136</v>
      </c>
      <c r="N43" s="30">
        <f>H43-K43</f>
        <v>23563864</v>
      </c>
      <c r="O43" s="21">
        <f t="shared" si="8"/>
        <v>0.94255456000000004</v>
      </c>
    </row>
    <row r="44" spans="1:15" x14ac:dyDescent="0.25">
      <c r="A44" s="22" t="s">
        <v>70</v>
      </c>
      <c r="B44" s="42" t="s">
        <v>71</v>
      </c>
      <c r="C44" s="64">
        <v>33200000</v>
      </c>
      <c r="D44" s="62"/>
      <c r="E44" s="25"/>
      <c r="F44" s="26"/>
      <c r="G44" s="27"/>
      <c r="H44" s="28">
        <f t="shared" si="2"/>
        <v>33200000</v>
      </c>
      <c r="I44" s="24">
        <f>2308630+2578336</f>
        <v>4886966</v>
      </c>
      <c r="J44" s="31">
        <v>2578336</v>
      </c>
      <c r="K44" s="28">
        <f t="shared" si="6"/>
        <v>7465302</v>
      </c>
      <c r="L44" s="18">
        <f t="shared" si="0"/>
        <v>0.22485849397590363</v>
      </c>
      <c r="M44" s="29">
        <f t="shared" si="3"/>
        <v>7465302</v>
      </c>
      <c r="N44" s="30">
        <f>H44-K44</f>
        <v>25734698</v>
      </c>
      <c r="O44" s="21">
        <f t="shared" si="8"/>
        <v>0.77514150602409637</v>
      </c>
    </row>
    <row r="45" spans="1:15" x14ac:dyDescent="0.25">
      <c r="A45" s="32">
        <v>2020110304</v>
      </c>
      <c r="B45" s="42" t="s">
        <v>72</v>
      </c>
      <c r="C45" s="64">
        <v>33000000</v>
      </c>
      <c r="D45" s="62"/>
      <c r="E45" s="25"/>
      <c r="F45" s="26"/>
      <c r="G45" s="27"/>
      <c r="H45" s="28">
        <f t="shared" si="2"/>
        <v>33000000</v>
      </c>
      <c r="I45" s="24">
        <f>674072+1168725</f>
        <v>1842797</v>
      </c>
      <c r="J45" s="31">
        <v>3322823</v>
      </c>
      <c r="K45" s="28">
        <f t="shared" si="6"/>
        <v>5165620</v>
      </c>
      <c r="L45" s="18">
        <f t="shared" si="0"/>
        <v>0.15653393939393939</v>
      </c>
      <c r="M45" s="29">
        <f t="shared" si="3"/>
        <v>5165620</v>
      </c>
      <c r="N45" s="30">
        <f>H45-K45</f>
        <v>27834380</v>
      </c>
      <c r="O45" s="21">
        <v>0</v>
      </c>
    </row>
    <row r="46" spans="1:15" x14ac:dyDescent="0.25">
      <c r="A46" s="32">
        <v>2020110305</v>
      </c>
      <c r="B46" s="42" t="s">
        <v>73</v>
      </c>
      <c r="C46" s="65">
        <v>3000000</v>
      </c>
      <c r="D46" s="61"/>
      <c r="E46" s="16"/>
      <c r="F46" s="16"/>
      <c r="G46" s="53"/>
      <c r="H46" s="28">
        <f t="shared" si="2"/>
        <v>3000000</v>
      </c>
      <c r="I46" s="28"/>
      <c r="J46" s="28"/>
      <c r="K46" s="28">
        <f t="shared" si="6"/>
        <v>0</v>
      </c>
      <c r="L46" s="18">
        <f t="shared" si="0"/>
        <v>0</v>
      </c>
      <c r="M46" s="29">
        <f t="shared" si="3"/>
        <v>0</v>
      </c>
      <c r="N46" s="30">
        <f>H46-K46</f>
        <v>3000000</v>
      </c>
      <c r="O46" s="21">
        <v>0</v>
      </c>
    </row>
    <row r="47" spans="1:15" ht="15.75" x14ac:dyDescent="0.25">
      <c r="A47" s="14" t="s">
        <v>74</v>
      </c>
      <c r="B47" s="44" t="s">
        <v>75</v>
      </c>
      <c r="C47" s="35">
        <f>C48+C49+C50+C51+C52+C53+C54+C55+C56+C57</f>
        <v>93900000</v>
      </c>
      <c r="D47" s="62"/>
      <c r="E47" s="54">
        <f>E48</f>
        <v>0</v>
      </c>
      <c r="F47" s="55">
        <f>F48+F49+F50+F51+F52+F53+F54+F55+F56+F57</f>
        <v>0</v>
      </c>
      <c r="G47" s="27">
        <f>G48+G49+G50+G51+G52+G53+G54+G55+G56+G57</f>
        <v>0</v>
      </c>
      <c r="H47" s="16">
        <f t="shared" si="2"/>
        <v>93900000</v>
      </c>
      <c r="I47" s="39">
        <f>I48+I49+I50+I51+I52+I53+I54+I55+I56+I57</f>
        <v>13216813</v>
      </c>
      <c r="J47" s="51">
        <f>J48+J49+J50+J51+J52+J53+J54+J55+J56+J57</f>
        <v>6506507</v>
      </c>
      <c r="K47" s="16">
        <f t="shared" si="6"/>
        <v>19723320</v>
      </c>
      <c r="L47" s="18">
        <f t="shared" si="0"/>
        <v>0.21004600638977636</v>
      </c>
      <c r="M47" s="19">
        <f t="shared" si="3"/>
        <v>19723320</v>
      </c>
      <c r="N47" s="40">
        <f>SUM(N48:N57)</f>
        <v>74176680</v>
      </c>
      <c r="O47" s="21">
        <f t="shared" ref="O47:O58" si="9">N47/H47</f>
        <v>0.78995399361022367</v>
      </c>
    </row>
    <row r="48" spans="1:15" x14ac:dyDescent="0.25">
      <c r="A48" s="22" t="s">
        <v>76</v>
      </c>
      <c r="B48" s="42" t="s">
        <v>77</v>
      </c>
      <c r="C48" s="64">
        <v>21000000</v>
      </c>
      <c r="D48" s="62"/>
      <c r="E48" s="25"/>
      <c r="F48" s="26"/>
      <c r="G48" s="27"/>
      <c r="H48" s="28">
        <f t="shared" si="2"/>
        <v>21000000</v>
      </c>
      <c r="I48" s="24">
        <f>1570000+1970000</f>
        <v>3540000</v>
      </c>
      <c r="J48" s="31">
        <v>1570000</v>
      </c>
      <c r="K48" s="28">
        <f t="shared" si="6"/>
        <v>5110000</v>
      </c>
      <c r="L48" s="18">
        <f t="shared" si="0"/>
        <v>0.24333333333333335</v>
      </c>
      <c r="M48" s="29">
        <f t="shared" si="3"/>
        <v>5110000</v>
      </c>
      <c r="N48" s="30">
        <f t="shared" ref="N48:N57" si="10">H48-K48</f>
        <v>15890000</v>
      </c>
      <c r="O48" s="21">
        <f t="shared" si="9"/>
        <v>0.75666666666666671</v>
      </c>
    </row>
    <row r="49" spans="1:15" x14ac:dyDescent="0.25">
      <c r="A49" s="22" t="s">
        <v>78</v>
      </c>
      <c r="B49" s="42" t="s">
        <v>71</v>
      </c>
      <c r="C49" s="64">
        <v>0</v>
      </c>
      <c r="D49" s="62"/>
      <c r="E49" s="25"/>
      <c r="F49" s="26"/>
      <c r="G49" s="27"/>
      <c r="H49" s="28">
        <f t="shared" si="2"/>
        <v>0</v>
      </c>
      <c r="I49" s="24"/>
      <c r="J49" s="24"/>
      <c r="K49" s="28">
        <f t="shared" si="6"/>
        <v>0</v>
      </c>
      <c r="L49" s="18" t="e">
        <f t="shared" si="0"/>
        <v>#DIV/0!</v>
      </c>
      <c r="M49" s="19">
        <f t="shared" si="3"/>
        <v>0</v>
      </c>
      <c r="N49" s="30">
        <f t="shared" si="10"/>
        <v>0</v>
      </c>
      <c r="O49" s="21">
        <v>0</v>
      </c>
    </row>
    <row r="50" spans="1:15" x14ac:dyDescent="0.25">
      <c r="A50" s="22" t="s">
        <v>79</v>
      </c>
      <c r="B50" s="42" t="s">
        <v>80</v>
      </c>
      <c r="C50" s="64">
        <v>2300000</v>
      </c>
      <c r="D50" s="62"/>
      <c r="E50" s="25"/>
      <c r="F50" s="26"/>
      <c r="G50" s="27"/>
      <c r="H50" s="28">
        <f t="shared" si="2"/>
        <v>2300000</v>
      </c>
      <c r="I50" s="24">
        <f>141777+206700</f>
        <v>348477</v>
      </c>
      <c r="J50" s="31">
        <v>206700</v>
      </c>
      <c r="K50" s="28">
        <f t="shared" si="6"/>
        <v>555177</v>
      </c>
      <c r="L50" s="18">
        <f t="shared" si="0"/>
        <v>0.24138130434782609</v>
      </c>
      <c r="M50" s="29">
        <f t="shared" si="3"/>
        <v>555177</v>
      </c>
      <c r="N50" s="30">
        <f t="shared" si="10"/>
        <v>1744823</v>
      </c>
      <c r="O50" s="21">
        <f t="shared" si="9"/>
        <v>0.75861869565217388</v>
      </c>
    </row>
    <row r="51" spans="1:15" x14ac:dyDescent="0.25">
      <c r="A51" s="22" t="s">
        <v>81</v>
      </c>
      <c r="B51" s="42" t="s">
        <v>72</v>
      </c>
      <c r="C51" s="65">
        <v>20000000</v>
      </c>
      <c r="D51" s="62"/>
      <c r="E51" s="25"/>
      <c r="F51" s="26"/>
      <c r="G51" s="27"/>
      <c r="H51" s="28">
        <f t="shared" si="2"/>
        <v>20000000</v>
      </c>
      <c r="I51" s="24">
        <f>2154098+2040207</f>
        <v>4194305</v>
      </c>
      <c r="J51" s="56">
        <v>2040207</v>
      </c>
      <c r="K51" s="28">
        <f t="shared" si="6"/>
        <v>6234512</v>
      </c>
      <c r="L51" s="18">
        <f t="shared" si="0"/>
        <v>0.31172559999999999</v>
      </c>
      <c r="M51" s="29">
        <f t="shared" si="3"/>
        <v>6234512</v>
      </c>
      <c r="N51" s="30">
        <f t="shared" si="10"/>
        <v>13765488</v>
      </c>
      <c r="O51" s="21">
        <f t="shared" si="9"/>
        <v>0.68827439999999995</v>
      </c>
    </row>
    <row r="52" spans="1:15" x14ac:dyDescent="0.25">
      <c r="A52" s="22" t="s">
        <v>82</v>
      </c>
      <c r="B52" s="42" t="s">
        <v>83</v>
      </c>
      <c r="C52" s="65">
        <v>19000000</v>
      </c>
      <c r="D52" s="62"/>
      <c r="E52" s="25"/>
      <c r="F52" s="26"/>
      <c r="G52" s="27"/>
      <c r="H52" s="28">
        <f t="shared" si="2"/>
        <v>19000000</v>
      </c>
      <c r="I52" s="24">
        <f>1086414+1195300</f>
        <v>2281714</v>
      </c>
      <c r="J52" s="31">
        <v>1195300</v>
      </c>
      <c r="K52" s="28">
        <f t="shared" si="6"/>
        <v>3477014</v>
      </c>
      <c r="L52" s="18">
        <f t="shared" si="0"/>
        <v>0.18300073684210527</v>
      </c>
      <c r="M52" s="29">
        <f t="shared" si="3"/>
        <v>3477014</v>
      </c>
      <c r="N52" s="30">
        <f t="shared" si="10"/>
        <v>15522986</v>
      </c>
      <c r="O52" s="21">
        <f t="shared" si="9"/>
        <v>0.81699926315789473</v>
      </c>
    </row>
    <row r="53" spans="1:15" x14ac:dyDescent="0.25">
      <c r="A53" s="22" t="s">
        <v>84</v>
      </c>
      <c r="B53" s="42" t="s">
        <v>85</v>
      </c>
      <c r="C53" s="65">
        <v>17000000</v>
      </c>
      <c r="D53" s="62"/>
      <c r="E53" s="25"/>
      <c r="F53" s="26"/>
      <c r="G53" s="27"/>
      <c r="H53" s="28">
        <f t="shared" si="2"/>
        <v>17000000</v>
      </c>
      <c r="I53" s="24">
        <f>814810+896600</f>
        <v>1711410</v>
      </c>
      <c r="J53" s="31">
        <v>896600</v>
      </c>
      <c r="K53" s="28">
        <f t="shared" si="6"/>
        <v>2608010</v>
      </c>
      <c r="L53" s="18">
        <f t="shared" si="0"/>
        <v>0.15341235294117647</v>
      </c>
      <c r="M53" s="29">
        <f t="shared" si="3"/>
        <v>2608010</v>
      </c>
      <c r="N53" s="30">
        <f t="shared" si="10"/>
        <v>14391990</v>
      </c>
      <c r="O53" s="21">
        <f t="shared" si="9"/>
        <v>0.8465876470588235</v>
      </c>
    </row>
    <row r="54" spans="1:15" x14ac:dyDescent="0.25">
      <c r="A54" s="22" t="s">
        <v>86</v>
      </c>
      <c r="B54" s="42" t="s">
        <v>87</v>
      </c>
      <c r="C54" s="65">
        <v>2400000</v>
      </c>
      <c r="D54" s="62"/>
      <c r="E54" s="25"/>
      <c r="F54" s="26"/>
      <c r="G54" s="27"/>
      <c r="H54" s="28">
        <f t="shared" si="2"/>
        <v>2400000</v>
      </c>
      <c r="I54" s="24">
        <f>135802+149500</f>
        <v>285302</v>
      </c>
      <c r="J54" s="31">
        <v>149500</v>
      </c>
      <c r="K54" s="28">
        <f t="shared" si="6"/>
        <v>434802</v>
      </c>
      <c r="L54" s="18">
        <f t="shared" si="0"/>
        <v>0.18116750000000001</v>
      </c>
      <c r="M54" s="29">
        <f t="shared" si="3"/>
        <v>434802</v>
      </c>
      <c r="N54" s="30">
        <f t="shared" si="10"/>
        <v>1965198</v>
      </c>
      <c r="O54" s="21">
        <f t="shared" si="9"/>
        <v>0.81883249999999996</v>
      </c>
    </row>
    <row r="55" spans="1:15" x14ac:dyDescent="0.25">
      <c r="A55" s="22" t="s">
        <v>88</v>
      </c>
      <c r="B55" s="42" t="s">
        <v>89</v>
      </c>
      <c r="C55" s="65">
        <v>2400000</v>
      </c>
      <c r="D55" s="62"/>
      <c r="E55" s="25"/>
      <c r="F55" s="26"/>
      <c r="G55" s="27"/>
      <c r="H55" s="28">
        <f t="shared" si="2"/>
        <v>2400000</v>
      </c>
      <c r="I55" s="24">
        <f>135802+149500</f>
        <v>285302</v>
      </c>
      <c r="J55" s="31">
        <v>149500</v>
      </c>
      <c r="K55" s="28">
        <f t="shared" si="6"/>
        <v>434802</v>
      </c>
      <c r="L55" s="18">
        <f t="shared" si="0"/>
        <v>0.18116750000000001</v>
      </c>
      <c r="M55" s="29">
        <f t="shared" si="3"/>
        <v>434802</v>
      </c>
      <c r="N55" s="30">
        <f t="shared" si="10"/>
        <v>1965198</v>
      </c>
      <c r="O55" s="21">
        <f t="shared" si="9"/>
        <v>0.81883249999999996</v>
      </c>
    </row>
    <row r="56" spans="1:15" x14ac:dyDescent="0.25">
      <c r="A56" s="22" t="s">
        <v>90</v>
      </c>
      <c r="B56" s="42" t="s">
        <v>91</v>
      </c>
      <c r="C56" s="65">
        <v>4800000</v>
      </c>
      <c r="D56" s="62"/>
      <c r="E56" s="25"/>
      <c r="F56" s="26"/>
      <c r="G56" s="27"/>
      <c r="H56" s="28">
        <f t="shared" si="2"/>
        <v>4800000</v>
      </c>
      <c r="I56" s="24">
        <f>271603+298700</f>
        <v>570303</v>
      </c>
      <c r="J56" s="31">
        <v>298700</v>
      </c>
      <c r="K56" s="28">
        <f t="shared" si="6"/>
        <v>869003</v>
      </c>
      <c r="L56" s="18">
        <f t="shared" si="0"/>
        <v>0.18104229166666666</v>
      </c>
      <c r="M56" s="29">
        <f t="shared" si="3"/>
        <v>869003</v>
      </c>
      <c r="N56" s="30">
        <f t="shared" si="10"/>
        <v>3930997</v>
      </c>
      <c r="O56" s="21">
        <f t="shared" si="9"/>
        <v>0.81895770833333337</v>
      </c>
    </row>
    <row r="57" spans="1:15" x14ac:dyDescent="0.25">
      <c r="A57" s="22" t="s">
        <v>92</v>
      </c>
      <c r="B57" s="42" t="s">
        <v>93</v>
      </c>
      <c r="C57" s="65">
        <v>5000000</v>
      </c>
      <c r="D57" s="62"/>
      <c r="E57" s="25"/>
      <c r="F57" s="26"/>
      <c r="G57" s="27"/>
      <c r="H57" s="28">
        <f t="shared" si="2"/>
        <v>5000000</v>
      </c>
      <c r="I57" s="24"/>
      <c r="J57" s="24"/>
      <c r="K57" s="28">
        <f t="shared" si="6"/>
        <v>0</v>
      </c>
      <c r="L57" s="18">
        <f t="shared" si="0"/>
        <v>0</v>
      </c>
      <c r="M57" s="19">
        <f t="shared" si="3"/>
        <v>0</v>
      </c>
      <c r="N57" s="30">
        <f t="shared" si="10"/>
        <v>5000000</v>
      </c>
      <c r="O57" s="21">
        <f t="shared" si="9"/>
        <v>1</v>
      </c>
    </row>
    <row r="58" spans="1:15" x14ac:dyDescent="0.25">
      <c r="A58" s="86" t="s">
        <v>94</v>
      </c>
      <c r="B58" s="86"/>
      <c r="C58" s="45">
        <f>C47+C42+C27+C18+C22+C8</f>
        <v>970934302</v>
      </c>
      <c r="D58" s="61">
        <f>D9+D47</f>
        <v>0</v>
      </c>
      <c r="E58" s="16">
        <f>E8+E18+E22+E27+E42</f>
        <v>0</v>
      </c>
      <c r="F58" s="16">
        <f>F47+F42+F27+F22+F18+F8</f>
        <v>46656253</v>
      </c>
      <c r="G58" s="16">
        <f>G47+G42+G27+G22+G18+G8</f>
        <v>46656253</v>
      </c>
      <c r="H58" s="16">
        <f>H8+H18+H22+H27+H42+H47</f>
        <v>970934302</v>
      </c>
      <c r="I58" s="16">
        <f>I47+I42+I27+I22+I18+I8</f>
        <v>199536152</v>
      </c>
      <c r="J58" s="16">
        <f>J47+J42+J27+J22+J18+J8</f>
        <v>86248261</v>
      </c>
      <c r="K58" s="16">
        <f>K47+K42+K27+K22+K18+K8</f>
        <v>285784413</v>
      </c>
      <c r="L58" s="18">
        <f t="shared" si="0"/>
        <v>0.29433959889080114</v>
      </c>
      <c r="M58" s="19">
        <f>M47+M42+M27+M22+M18+M8</f>
        <v>285784413</v>
      </c>
      <c r="N58" s="16">
        <f>N47+N42+N27+N22+N18+N8</f>
        <v>685149889</v>
      </c>
      <c r="O58" s="21">
        <f t="shared" si="9"/>
        <v>0.70566040110919881</v>
      </c>
    </row>
    <row r="59" spans="1:15" x14ac:dyDescent="0.25">
      <c r="K59" s="58"/>
      <c r="M59" s="59"/>
    </row>
    <row r="62" spans="1:15" x14ac:dyDescent="0.25">
      <c r="B62" s="57" t="s">
        <v>95</v>
      </c>
      <c r="C62" s="87" t="s">
        <v>96</v>
      </c>
      <c r="D62" s="87"/>
      <c r="E62" s="87"/>
      <c r="F62" s="87"/>
    </row>
    <row r="63" spans="1:15" x14ac:dyDescent="0.25">
      <c r="B63" s="88" t="s">
        <v>118</v>
      </c>
      <c r="C63" s="89" t="s">
        <v>119</v>
      </c>
      <c r="D63" s="90"/>
      <c r="E63" s="90"/>
      <c r="F63" s="91"/>
    </row>
  </sheetData>
  <mergeCells count="6">
    <mergeCell ref="A1:O1"/>
    <mergeCell ref="A2:O2"/>
    <mergeCell ref="A3:O3"/>
    <mergeCell ref="A58:B58"/>
    <mergeCell ref="C62:F62"/>
    <mergeCell ref="C63:F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MARZO 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</cp:lastModifiedBy>
  <cp:lastPrinted>2014-09-23T19:22:41Z</cp:lastPrinted>
  <dcterms:created xsi:type="dcterms:W3CDTF">2014-09-22T15:04:52Z</dcterms:created>
  <dcterms:modified xsi:type="dcterms:W3CDTF">2015-06-04T13:55:45Z</dcterms:modified>
</cp:coreProperties>
</file>